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140" windowWidth="36740" windowHeight="19300"/>
  </bookViews>
  <sheets>
    <sheet name="Sheet1" sheetId="1" r:id="rId1"/>
    <sheet name="Sheet2" sheetId="2" r:id="rId2"/>
    <sheet name="Sheet3" sheetId="3" r:id="rId3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" i="1"/>
  <c r="T6"/>
  <c r="C3"/>
  <c r="Q3"/>
  <c r="Q4"/>
  <c r="R3"/>
  <c r="R4"/>
  <c r="S3"/>
  <c r="S4"/>
  <c r="T3"/>
  <c r="T4"/>
  <c r="U3"/>
  <c r="U4"/>
  <c r="U6"/>
  <c r="G2"/>
  <c r="C11"/>
  <c r="D11"/>
  <c r="P10"/>
  <c r="U12"/>
  <c r="U14"/>
  <c r="T12"/>
  <c r="T14"/>
  <c r="S6"/>
  <c r="S12"/>
  <c r="S14"/>
  <c r="R6"/>
  <c r="R12"/>
  <c r="R14"/>
  <c r="Q6"/>
  <c r="Q12"/>
  <c r="Q14"/>
  <c r="U13"/>
  <c r="T13"/>
  <c r="S13"/>
  <c r="R13"/>
  <c r="Q13"/>
  <c r="P6"/>
  <c r="P12"/>
  <c r="P14"/>
  <c r="P13"/>
  <c r="C9"/>
  <c r="D9"/>
  <c r="D13"/>
  <c r="D17"/>
  <c r="D21"/>
  <c r="D25"/>
  <c r="D29"/>
  <c r="J29"/>
  <c r="L29"/>
  <c r="J30"/>
  <c r="K29"/>
  <c r="C12"/>
  <c r="D12"/>
  <c r="D16"/>
  <c r="D20"/>
  <c r="D24"/>
  <c r="D28"/>
  <c r="G29"/>
  <c r="F29"/>
  <c r="F28"/>
  <c r="D15"/>
  <c r="D19"/>
  <c r="D23"/>
  <c r="D27"/>
  <c r="F27"/>
  <c r="C10"/>
  <c r="D10"/>
  <c r="D14"/>
  <c r="D18"/>
  <c r="D22"/>
  <c r="D26"/>
  <c r="F26"/>
  <c r="F25"/>
  <c r="F24"/>
  <c r="F23"/>
  <c r="F22"/>
  <c r="F21"/>
  <c r="F20"/>
  <c r="F19"/>
  <c r="F18"/>
  <c r="F17"/>
  <c r="F16"/>
  <c r="F15"/>
  <c r="F14"/>
  <c r="F12"/>
  <c r="F11"/>
  <c r="F10"/>
  <c r="F9"/>
  <c r="F13"/>
  <c r="J28"/>
  <c r="L28"/>
  <c r="K28"/>
  <c r="G28"/>
  <c r="J27"/>
  <c r="L27"/>
  <c r="K27"/>
  <c r="G27"/>
  <c r="J26"/>
  <c r="L26"/>
  <c r="K26"/>
  <c r="G26"/>
  <c r="J25"/>
  <c r="L25"/>
  <c r="K25"/>
  <c r="G25"/>
  <c r="Q10"/>
  <c r="R10"/>
  <c r="S10"/>
  <c r="T10"/>
  <c r="U10"/>
  <c r="L9"/>
  <c r="G21"/>
  <c r="G20"/>
  <c r="G19"/>
  <c r="G18"/>
  <c r="G17"/>
  <c r="G16"/>
  <c r="G15"/>
  <c r="G14"/>
  <c r="G13"/>
  <c r="G12"/>
  <c r="G11"/>
  <c r="J21"/>
  <c r="L21"/>
  <c r="J20"/>
  <c r="L20"/>
  <c r="J19"/>
  <c r="L19"/>
  <c r="J18"/>
  <c r="L18"/>
  <c r="J17"/>
  <c r="L17"/>
  <c r="J16"/>
  <c r="L16"/>
  <c r="J15"/>
  <c r="L15"/>
  <c r="J14"/>
  <c r="K14"/>
  <c r="J13"/>
  <c r="L13"/>
  <c r="J12"/>
  <c r="L12"/>
  <c r="J11"/>
  <c r="L11"/>
  <c r="J10"/>
  <c r="L10"/>
  <c r="G10"/>
  <c r="L14"/>
  <c r="K18"/>
  <c r="K10"/>
  <c r="K9"/>
  <c r="L30"/>
  <c r="K13"/>
  <c r="K17"/>
  <c r="K21"/>
  <c r="K30"/>
  <c r="K12"/>
  <c r="K16"/>
  <c r="K20"/>
  <c r="K11"/>
  <c r="K15"/>
  <c r="K19"/>
  <c r="J23"/>
  <c r="L23"/>
  <c r="G22"/>
  <c r="G23"/>
  <c r="K23"/>
  <c r="J24"/>
  <c r="G24"/>
  <c r="J22"/>
  <c r="L22"/>
  <c r="K22"/>
  <c r="L24"/>
  <c r="K24"/>
</calcChain>
</file>

<file path=xl/sharedStrings.xml><?xml version="1.0" encoding="utf-8"?>
<sst xmlns="http://schemas.openxmlformats.org/spreadsheetml/2006/main" count="117" uniqueCount="92">
  <si>
    <t>Db3+16.7c</t>
  </si>
  <si>
    <t>Eikosany guitar design for the Bridges Archive (tempered via 72-ED2), by David C. Keenan</t>
    <phoneticPr fontId="3" type="noConversion"/>
  </si>
  <si>
    <t>Version: 31 December 2014</t>
    <phoneticPr fontId="3" type="noConversion"/>
  </si>
  <si>
    <t>Email: d.keenan@bigpond.net.au</t>
    <phoneticPr fontId="3" type="noConversion"/>
  </si>
  <si>
    <t>Scale length is the distance from nut to octave-fret, plus any nut setforth, all times 2</t>
    <phoneticPr fontId="3" type="noConversion"/>
  </si>
  <si>
    <t>cents</t>
  </si>
  <si>
    <t>Period</t>
  </si>
  <si>
    <t>Scale length</t>
  </si>
  <si>
    <t>mm</t>
  </si>
  <si>
    <t>1/1</t>
  </si>
  <si>
    <t>9/7</t>
  </si>
  <si>
    <t>Sorted and extended</t>
  </si>
  <si>
    <t>Step (cents)</t>
  </si>
  <si>
    <t>Fret no.</t>
  </si>
  <si>
    <t>Nut setforth</t>
  </si>
  <si>
    <t>nut</t>
  </si>
  <si>
    <t>Hz</t>
  </si>
  <si>
    <t>Intervals between strings</t>
  </si>
  <si>
    <t>Distance</t>
  </si>
  <si>
    <t>Error (cents)</t>
  </si>
  <si>
    <t>Cents</t>
  </si>
  <si>
    <t>Interval above lowest string</t>
  </si>
  <si>
    <t>Pitch</t>
  </si>
  <si>
    <t>Frequency</t>
  </si>
  <si>
    <t>(mm)</t>
  </si>
  <si>
    <t>from nut</t>
  </si>
  <si>
    <t>Valid</t>
  </si>
  <si>
    <t>capo</t>
  </si>
  <si>
    <t>x</t>
  </si>
  <si>
    <t>String number</t>
  </si>
  <si>
    <t>Open string tuning - 6 strings</t>
  </si>
  <si>
    <t>Chord fretting patterns</t>
  </si>
  <si>
    <t>(top end of</t>
  </si>
  <si>
    <t>from nominal</t>
  </si>
  <si>
    <t>saddle</t>
  </si>
  <si>
    <t>position</t>
  </si>
  <si>
    <t>from bottom</t>
  </si>
  <si>
    <t>of</t>
  </si>
  <si>
    <t>fingerboard</t>
  </si>
  <si>
    <t>fingerboard)</t>
  </si>
  <si>
    <t>Fingerboard length</t>
  </si>
  <si>
    <t>2nd fret</t>
  </si>
  <si>
    <t>Used for setting saddle compensation</t>
  </si>
  <si>
    <t>These are lists of fret numbers (0 = open, x = don't play) in string order 654321.</t>
  </si>
  <si>
    <t>pos'n</t>
  </si>
  <si>
    <t>Plain steel</t>
  </si>
  <si>
    <t>Size (inch)</t>
  </si>
  <si>
    <t>Not yet updated for Eikosany guitar</t>
  </si>
  <si>
    <t>Generator1</t>
  </si>
  <si>
    <t>Generator2</t>
  </si>
  <si>
    <t>Generator1s</t>
  </si>
  <si>
    <t>Generator2s</t>
  </si>
  <si>
    <t>11/9</t>
  </si>
  <si>
    <t>3/2</t>
  </si>
  <si>
    <t>9/4</t>
  </si>
  <si>
    <t>11/6</t>
  </si>
  <si>
    <t>11/4</t>
  </si>
  <si>
    <t>Suggested nut setforth is diameter of thickest string</t>
  </si>
  <si>
    <t>5/4</t>
  </si>
  <si>
    <t>15/14</t>
  </si>
  <si>
    <t>22/21</t>
  </si>
  <si>
    <t>55/54</t>
  </si>
  <si>
    <t>55/42</t>
  </si>
  <si>
    <t>55/36</t>
  </si>
  <si>
    <t>45/28</t>
  </si>
  <si>
    <t>11/7</t>
  </si>
  <si>
    <t>15/8</t>
  </si>
  <si>
    <t>27/14</t>
  </si>
  <si>
    <t>165/84</t>
  </si>
  <si>
    <t>33/14</t>
  </si>
  <si>
    <t>165/72</t>
  </si>
  <si>
    <t>135/56</t>
  </si>
  <si>
    <t>Wound</t>
  </si>
  <si>
    <t>10th fret</t>
  </si>
  <si>
    <t>This fret not needed for eikosany</t>
  </si>
  <si>
    <t>A3</t>
  </si>
  <si>
    <t>18th fret</t>
  </si>
  <si>
    <t>Approx ratio of frequencies</t>
  </si>
  <si>
    <t>Compensated saddle-piece positions will typically be</t>
  </si>
  <si>
    <t>Nominal saddle position</t>
  </si>
  <si>
    <t xml:space="preserve">1 to 5 mm (saddle setback) further from the nut </t>
  </si>
  <si>
    <t>than the nominal saddle position.</t>
  </si>
  <si>
    <t>Ab3+16.7c</t>
  </si>
  <si>
    <t>C4-33.3c</t>
  </si>
  <si>
    <t>F3-33.3c</t>
  </si>
  <si>
    <t>Bb2-33.3c</t>
  </si>
  <si>
    <t>Gb2+16.7c</t>
  </si>
  <si>
    <t>G2</t>
  </si>
  <si>
    <t>D3</t>
  </si>
  <si>
    <t>C4+50.0c</t>
  </si>
  <si>
    <t>F3+50.0c</t>
  </si>
  <si>
    <t>B2-50c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</si>
</sst>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16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164" fontId="0" fillId="2" borderId="0" xfId="0" applyNumberFormat="1" applyFill="1"/>
    <xf numFmtId="164" fontId="0" fillId="3" borderId="0" xfId="0" applyNumberFormat="1" applyFill="1"/>
    <xf numFmtId="164" fontId="0" fillId="0" borderId="0" xfId="0" applyNumberFormat="1" applyFill="1"/>
    <xf numFmtId="0" fontId="0" fillId="0" borderId="0" xfId="0" quotePrefix="1"/>
    <xf numFmtId="0" fontId="2" fillId="0" borderId="0" xfId="0" quotePrefix="1" applyFont="1"/>
    <xf numFmtId="0" fontId="0" fillId="0" borderId="0" xfId="0" applyFill="1" applyAlignment="1">
      <alignment horizontal="center"/>
    </xf>
    <xf numFmtId="0" fontId="1" fillId="0" borderId="0" xfId="0" applyFont="1"/>
    <xf numFmtId="16" fontId="0" fillId="0" borderId="0" xfId="0" applyNumberFormat="1"/>
    <xf numFmtId="164" fontId="0" fillId="4" borderId="0" xfId="0" applyNumberFormat="1" applyFill="1"/>
    <xf numFmtId="164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quotePrefix="1" applyNumberFormat="1" applyAlignment="1">
      <alignment horizontal="left"/>
    </xf>
    <xf numFmtId="0" fontId="0" fillId="0" borderId="0" xfId="0" quotePrefix="1" applyFill="1"/>
    <xf numFmtId="16" fontId="0" fillId="0" borderId="0" xfId="0" quotePrefix="1" applyNumberFormat="1" applyFill="1"/>
    <xf numFmtId="0" fontId="1" fillId="0" borderId="0" xfId="0" applyFont="1" applyFill="1"/>
    <xf numFmtId="0" fontId="0" fillId="0" borderId="0" xfId="0" quotePrefix="1" applyFill="1" applyAlignment="1">
      <alignment horizontal="center"/>
    </xf>
    <xf numFmtId="0" fontId="0" fillId="0" borderId="0" xfId="0" quotePrefix="1" applyNumberFormat="1" applyFill="1" applyAlignment="1">
      <alignment horizontal="center"/>
    </xf>
    <xf numFmtId="0" fontId="0" fillId="0" borderId="0" xfId="0" applyFill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ash"/>
            <c:size val="8"/>
          </c:marker>
          <c:yVal>
            <c:numRef>
              <c:f>Sheet1!$J$9:$J$30</c:f>
              <c:numCache>
                <c:formatCode>0.0</c:formatCode>
                <c:ptCount val="22"/>
                <c:pt idx="0">
                  <c:v>0.0</c:v>
                </c:pt>
                <c:pt idx="1">
                  <c:v>11.35158221684376</c:v>
                </c:pt>
                <c:pt idx="2">
                  <c:v>29.43871836225805</c:v>
                </c:pt>
                <c:pt idx="3">
                  <c:v>41.20983688846297</c:v>
                </c:pt>
                <c:pt idx="4">
                  <c:v>117.5564804678698</c:v>
                </c:pt>
                <c:pt idx="5">
                  <c:v>127.6472009959093</c:v>
                </c:pt>
                <c:pt idx="6">
                  <c:v>142.4236266223433</c:v>
                </c:pt>
                <c:pt idx="7">
                  <c:v>152.0401328532929</c:v>
                </c:pt>
                <c:pt idx="8">
                  <c:v>214.4121132270344</c:v>
                </c:pt>
                <c:pt idx="9">
                  <c:v>222.6558053295848</c:v>
                </c:pt>
                <c:pt idx="10">
                  <c:v>234.7275204169341</c:v>
                </c:pt>
                <c:pt idx="11">
                  <c:v>242.5837994854028</c:v>
                </c:pt>
                <c:pt idx="12">
                  <c:v>293.5390707763563</c:v>
                </c:pt>
                <c:pt idx="13">
                  <c:v>300.2738187354157</c:v>
                </c:pt>
                <c:pt idx="14">
                  <c:v>310.1358996495875</c:v>
                </c:pt>
                <c:pt idx="15">
                  <c:v>316.5541475370604</c:v>
                </c:pt>
                <c:pt idx="16">
                  <c:v>358.1824501302511</c:v>
                </c:pt>
                <c:pt idx="17">
                  <c:v>363.6844545122466</c:v>
                </c:pt>
                <c:pt idx="18">
                  <c:v>371.7413577156364</c:v>
                </c:pt>
                <c:pt idx="19">
                  <c:v>376.9847949186735</c:v>
                </c:pt>
                <c:pt idx="20">
                  <c:v>410.9933583682788</c:v>
                </c:pt>
                <c:pt idx="21">
                  <c:v>646.7</c:v>
                </c:pt>
              </c:numCache>
            </c:numRef>
          </c:yVal>
        </c:ser>
        <c:axId val="461094376"/>
        <c:axId val="461010216"/>
      </c:scatterChart>
      <c:valAx>
        <c:axId val="461094376"/>
        <c:scaling>
          <c:orientation val="minMax"/>
        </c:scaling>
        <c:axPos val="t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461010216"/>
        <c:crosses val="autoZero"/>
        <c:crossBetween val="midCat"/>
      </c:valAx>
      <c:valAx>
        <c:axId val="461010216"/>
        <c:scaling>
          <c:orientation val="maxMin"/>
          <c:max val="650.0"/>
          <c:min val="0.0"/>
        </c:scaling>
        <c:axPos val="l"/>
        <c:majorGridlines/>
        <c:numFmt formatCode="0.0" sourceLinked="1"/>
        <c:maj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461094376"/>
        <c:crosses val="autoZero"/>
        <c:crossBetween val="midCat"/>
      </c:valAx>
    </c:plotArea>
    <c:plotVisOnly val="1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8</xdr:row>
      <xdr:rowOff>9526</xdr:rowOff>
    </xdr:from>
    <xdr:to>
      <xdr:col>13</xdr:col>
      <xdr:colOff>95251</xdr:colOff>
      <xdr:row>44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62"/>
  <sheetViews>
    <sheetView tabSelected="1" zoomScale="200" zoomScaleNormal="85" zoomScalePageLayoutView="85" workbookViewId="0">
      <selection activeCell="C7" sqref="C7"/>
    </sheetView>
  </sheetViews>
  <sheetFormatPr baseColWidth="10" defaultColWidth="8.83203125" defaultRowHeight="14"/>
  <cols>
    <col min="1" max="1" width="12.1640625" customWidth="1"/>
    <col min="2" max="2" width="11.5" customWidth="1"/>
    <col min="4" max="4" width="8.83203125" style="4"/>
    <col min="5" max="5" width="11.5" style="1" customWidth="1"/>
    <col min="6" max="6" width="11" style="4" customWidth="1"/>
    <col min="7" max="7" width="11" customWidth="1"/>
    <col min="8" max="8" width="10.5" customWidth="1"/>
    <col min="9" max="9" width="6" style="4" customWidth="1"/>
    <col min="10" max="10" width="12.5" style="4" customWidth="1"/>
    <col min="11" max="11" width="10.33203125" style="4" customWidth="1"/>
    <col min="12" max="12" width="12" style="4" customWidth="1"/>
    <col min="15" max="15" width="12.1640625" customWidth="1"/>
    <col min="16" max="16" width="9.6640625" bestFit="1" customWidth="1"/>
    <col min="17" max="21" width="10.6640625" bestFit="1" customWidth="1"/>
  </cols>
  <sheetData>
    <row r="1" spans="1:23">
      <c r="A1" s="27" t="s">
        <v>1</v>
      </c>
      <c r="J1" s="4" t="s">
        <v>2</v>
      </c>
      <c r="L1" s="17"/>
      <c r="P1" s="13" t="s">
        <v>30</v>
      </c>
    </row>
    <row r="2" spans="1:23">
      <c r="A2" t="s">
        <v>48</v>
      </c>
      <c r="C2">
        <f>5/72*1200</f>
        <v>83.333333333333343</v>
      </c>
      <c r="D2" s="4" t="s">
        <v>5</v>
      </c>
      <c r="E2" s="5" t="s">
        <v>49</v>
      </c>
      <c r="G2">
        <f>2/72*1200</f>
        <v>33.333333333333329</v>
      </c>
      <c r="H2" t="s">
        <v>5</v>
      </c>
      <c r="J2" s="4" t="s">
        <v>3</v>
      </c>
      <c r="N2" t="s">
        <v>29</v>
      </c>
      <c r="P2">
        <v>6</v>
      </c>
      <c r="Q2">
        <v>5</v>
      </c>
      <c r="R2">
        <v>4</v>
      </c>
      <c r="S2">
        <v>3</v>
      </c>
      <c r="T2">
        <v>2</v>
      </c>
      <c r="U2">
        <v>1</v>
      </c>
    </row>
    <row r="3" spans="1:23">
      <c r="A3" t="s">
        <v>6</v>
      </c>
      <c r="C3">
        <f>21/72*1200</f>
        <v>350</v>
      </c>
      <c r="D3" s="4" t="s">
        <v>5</v>
      </c>
      <c r="E3" s="5" t="s">
        <v>40</v>
      </c>
      <c r="G3" s="15">
        <v>500</v>
      </c>
      <c r="H3" t="s">
        <v>8</v>
      </c>
      <c r="N3" t="s">
        <v>17</v>
      </c>
      <c r="Q3" s="5">
        <f>$C$3</f>
        <v>350</v>
      </c>
      <c r="R3" s="5">
        <f t="shared" ref="R3:U3" si="0">$C$3</f>
        <v>350</v>
      </c>
      <c r="S3" s="5">
        <f t="shared" si="0"/>
        <v>350</v>
      </c>
      <c r="T3" s="5">
        <f t="shared" si="0"/>
        <v>350</v>
      </c>
      <c r="U3" s="5">
        <f t="shared" si="0"/>
        <v>350</v>
      </c>
      <c r="V3" t="s">
        <v>5</v>
      </c>
    </row>
    <row r="4" spans="1:23">
      <c r="A4" t="s">
        <v>7</v>
      </c>
      <c r="C4" s="6">
        <v>647.70000000000005</v>
      </c>
      <c r="D4" s="4" t="s">
        <v>8</v>
      </c>
      <c r="E4" s="5" t="s">
        <v>14</v>
      </c>
      <c r="G4" s="7">
        <v>1</v>
      </c>
      <c r="H4" t="s">
        <v>8</v>
      </c>
      <c r="J4" s="4" t="s">
        <v>18</v>
      </c>
      <c r="K4" s="4" t="s">
        <v>18</v>
      </c>
      <c r="L4" s="4" t="s">
        <v>18</v>
      </c>
      <c r="N4" t="s">
        <v>21</v>
      </c>
      <c r="P4">
        <v>0</v>
      </c>
      <c r="Q4">
        <f>P4+Q3</f>
        <v>350</v>
      </c>
      <c r="R4">
        <f t="shared" ref="R4:U4" si="1">Q4+R3</f>
        <v>700</v>
      </c>
      <c r="S4">
        <f t="shared" si="1"/>
        <v>1050</v>
      </c>
      <c r="T4">
        <f t="shared" si="1"/>
        <v>1400</v>
      </c>
      <c r="U4">
        <f t="shared" si="1"/>
        <v>1750</v>
      </c>
      <c r="V4" t="s">
        <v>5</v>
      </c>
    </row>
    <row r="5" spans="1:23">
      <c r="A5" t="s">
        <v>4</v>
      </c>
      <c r="E5" s="5"/>
      <c r="G5" s="4"/>
      <c r="J5" s="4" t="s">
        <v>25</v>
      </c>
      <c r="K5" s="4" t="s">
        <v>33</v>
      </c>
      <c r="L5" s="4" t="s">
        <v>36</v>
      </c>
      <c r="N5" t="s">
        <v>22</v>
      </c>
      <c r="P5" t="s">
        <v>86</v>
      </c>
      <c r="Q5" t="s">
        <v>85</v>
      </c>
      <c r="R5" t="s">
        <v>0</v>
      </c>
      <c r="S5" t="s">
        <v>84</v>
      </c>
      <c r="T5" t="s">
        <v>82</v>
      </c>
      <c r="U5" t="s">
        <v>83</v>
      </c>
    </row>
    <row r="6" spans="1:23">
      <c r="A6" t="s">
        <v>57</v>
      </c>
      <c r="I6" s="4" t="s">
        <v>26</v>
      </c>
      <c r="J6" s="4" t="s">
        <v>32</v>
      </c>
      <c r="K6" s="4" t="s">
        <v>34</v>
      </c>
      <c r="L6" s="4" t="s">
        <v>37</v>
      </c>
      <c r="N6" t="s">
        <v>23</v>
      </c>
      <c r="P6" s="4">
        <f t="shared" ref="P6:R6" si="2">$T6*2^((P4-$T4)/1200)</f>
        <v>93.393394013524784</v>
      </c>
      <c r="Q6" s="4">
        <f t="shared" si="2"/>
        <v>114.31851486350278</v>
      </c>
      <c r="R6" s="4">
        <f t="shared" si="2"/>
        <v>139.93198318399649</v>
      </c>
      <c r="S6" s="4">
        <f>$T6*2^((S4-$T4)/1200)</f>
        <v>171.28423983801832</v>
      </c>
      <c r="T6" s="4">
        <f>220*2^(-C2/1200)</f>
        <v>209.66108068597072</v>
      </c>
      <c r="U6" s="4">
        <f>$T6*2^((U4-$T4)/1200)</f>
        <v>256.63638870674566</v>
      </c>
      <c r="V6" t="s">
        <v>16</v>
      </c>
    </row>
    <row r="7" spans="1:23">
      <c r="D7" s="4" t="s">
        <v>11</v>
      </c>
      <c r="I7" s="4" t="s">
        <v>27</v>
      </c>
      <c r="J7" s="4" t="s">
        <v>39</v>
      </c>
      <c r="K7" s="4" t="s">
        <v>35</v>
      </c>
      <c r="L7" s="4" t="s">
        <v>38</v>
      </c>
      <c r="N7" t="s">
        <v>46</v>
      </c>
      <c r="P7">
        <v>3.7999999999999999E-2</v>
      </c>
      <c r="Q7">
        <v>0.03</v>
      </c>
      <c r="R7">
        <v>2.5999999999999999E-2</v>
      </c>
      <c r="S7">
        <v>1.7999999999999999E-2</v>
      </c>
      <c r="T7">
        <v>1.2999999999999999E-2</v>
      </c>
      <c r="U7">
        <v>1.0999999999999999E-2</v>
      </c>
    </row>
    <row r="8" spans="1:23">
      <c r="A8" t="s">
        <v>50</v>
      </c>
      <c r="B8" t="s">
        <v>51</v>
      </c>
      <c r="C8" t="s">
        <v>20</v>
      </c>
      <c r="D8" s="4" t="s">
        <v>20</v>
      </c>
      <c r="E8" s="5" t="s">
        <v>77</v>
      </c>
      <c r="F8" s="4" t="s">
        <v>19</v>
      </c>
      <c r="G8" t="s">
        <v>12</v>
      </c>
      <c r="H8" t="s">
        <v>13</v>
      </c>
      <c r="I8" s="4" t="s">
        <v>44</v>
      </c>
      <c r="J8" s="4" t="s">
        <v>24</v>
      </c>
      <c r="K8" s="4" t="s">
        <v>24</v>
      </c>
      <c r="L8" s="4" t="s">
        <v>24</v>
      </c>
      <c r="P8" t="s">
        <v>72</v>
      </c>
      <c r="Q8" t="s">
        <v>72</v>
      </c>
      <c r="R8" t="s">
        <v>72</v>
      </c>
      <c r="S8" t="s">
        <v>45</v>
      </c>
      <c r="T8" t="s">
        <v>45</v>
      </c>
      <c r="U8" t="s">
        <v>45</v>
      </c>
    </row>
    <row r="9" spans="1:23">
      <c r="A9">
        <v>0</v>
      </c>
      <c r="B9">
        <v>0</v>
      </c>
      <c r="C9">
        <f>MOD(A9*C$2+B9*G$2,C$3)</f>
        <v>0</v>
      </c>
      <c r="D9" s="4">
        <f>C9</f>
        <v>0</v>
      </c>
      <c r="E9" s="2" t="s">
        <v>9</v>
      </c>
      <c r="F9" s="4">
        <f t="shared" ref="F9:F12" si="3">D9-LN(LEFT(E9,SEARCH("/",E9)-1)/RIGHT(E9,LEN(E9)-SEARCH("/",E9)))/LN(2)*1200</f>
        <v>0</v>
      </c>
      <c r="H9" s="1" t="s">
        <v>15</v>
      </c>
      <c r="J9" s="8">
        <v>0</v>
      </c>
      <c r="K9" s="8">
        <f t="shared" ref="K9:K24" si="4">J$30-J9</f>
        <v>646.70000000000005</v>
      </c>
      <c r="L9" s="8">
        <f t="shared" ref="L9:L30" si="5">G$3-J9</f>
        <v>500</v>
      </c>
    </row>
    <row r="10" spans="1:23">
      <c r="A10">
        <v>0</v>
      </c>
      <c r="B10">
        <v>1</v>
      </c>
      <c r="C10">
        <f t="shared" ref="C10:C12" si="6">MOD(A10*C$2+B10*G$2,C$3)</f>
        <v>33.333333333333329</v>
      </c>
      <c r="D10" s="4">
        <f t="shared" ref="D10:D12" si="7">C10</f>
        <v>33.333333333333329</v>
      </c>
      <c r="E10" s="3" t="s">
        <v>61</v>
      </c>
      <c r="F10" s="4">
        <f t="shared" si="3"/>
        <v>1.5666796999039114</v>
      </c>
      <c r="G10" s="4">
        <f>D10-D9</f>
        <v>33.333333333333329</v>
      </c>
      <c r="H10" s="1">
        <v>1</v>
      </c>
      <c r="I10" s="9"/>
      <c r="J10" s="8">
        <f t="shared" ref="J10:J24" si="8">C$4*(1-2^(-D10/1200))-G$4</f>
        <v>11.351582216843765</v>
      </c>
      <c r="K10" s="8">
        <f t="shared" si="4"/>
        <v>635.34841778315626</v>
      </c>
      <c r="L10" s="8">
        <f t="shared" si="5"/>
        <v>488.64841778315622</v>
      </c>
      <c r="P10" s="16">
        <f t="shared" ref="P10:U10" si="9">P4+$D11</f>
        <v>83.333333333333343</v>
      </c>
      <c r="Q10" s="16">
        <f t="shared" si="9"/>
        <v>433.33333333333337</v>
      </c>
      <c r="R10" s="16">
        <f t="shared" si="9"/>
        <v>783.33333333333337</v>
      </c>
      <c r="S10" s="16">
        <f t="shared" si="9"/>
        <v>1133.3333333333333</v>
      </c>
      <c r="T10" s="16">
        <f t="shared" si="9"/>
        <v>1483.3333333333333</v>
      </c>
      <c r="U10" s="16">
        <f t="shared" si="9"/>
        <v>1833.3333333333333</v>
      </c>
      <c r="V10" t="s">
        <v>5</v>
      </c>
    </row>
    <row r="11" spans="1:23">
      <c r="A11">
        <v>1</v>
      </c>
      <c r="B11">
        <v>0</v>
      </c>
      <c r="C11">
        <f t="shared" si="6"/>
        <v>83.333333333333343</v>
      </c>
      <c r="D11" s="4">
        <f t="shared" si="7"/>
        <v>83.333333333333343</v>
      </c>
      <c r="E11" s="3" t="s">
        <v>60</v>
      </c>
      <c r="F11" s="4">
        <f t="shared" si="3"/>
        <v>2.7962983030888893</v>
      </c>
      <c r="G11" s="4">
        <f t="shared" ref="G11:G24" si="10">D11-D10</f>
        <v>50.000000000000014</v>
      </c>
      <c r="H11" s="1">
        <v>2</v>
      </c>
      <c r="I11" s="9"/>
      <c r="J11" s="8">
        <f t="shared" si="8"/>
        <v>29.438718362258051</v>
      </c>
      <c r="K11" s="8">
        <f t="shared" si="4"/>
        <v>617.26128163774194</v>
      </c>
      <c r="L11" s="8">
        <f t="shared" si="5"/>
        <v>470.56128163774196</v>
      </c>
      <c r="O11" t="s">
        <v>41</v>
      </c>
      <c r="P11" s="1" t="s">
        <v>87</v>
      </c>
      <c r="Q11" s="1" t="s">
        <v>91</v>
      </c>
      <c r="R11" s="1" t="s">
        <v>88</v>
      </c>
      <c r="S11" s="1" t="s">
        <v>90</v>
      </c>
      <c r="T11" s="1" t="s">
        <v>75</v>
      </c>
      <c r="U11" s="1" t="s">
        <v>89</v>
      </c>
    </row>
    <row r="12" spans="1:23">
      <c r="A12">
        <v>1</v>
      </c>
      <c r="B12">
        <v>1</v>
      </c>
      <c r="C12">
        <f t="shared" si="6"/>
        <v>116.66666666666667</v>
      </c>
      <c r="D12" s="4">
        <f t="shared" si="7"/>
        <v>116.66666666666667</v>
      </c>
      <c r="E12" s="3" t="s">
        <v>59</v>
      </c>
      <c r="F12" s="4">
        <f t="shared" si="3"/>
        <v>-2.7761415944305838</v>
      </c>
      <c r="G12" s="4">
        <f t="shared" si="10"/>
        <v>33.333333333333329</v>
      </c>
      <c r="H12" s="1">
        <v>3</v>
      </c>
      <c r="I12" s="9"/>
      <c r="J12" s="8">
        <f t="shared" si="8"/>
        <v>41.209836888462974</v>
      </c>
      <c r="K12" s="8">
        <f t="shared" si="4"/>
        <v>605.49016311153707</v>
      </c>
      <c r="L12" s="8">
        <f t="shared" si="5"/>
        <v>458.79016311153703</v>
      </c>
      <c r="O12" t="s">
        <v>41</v>
      </c>
      <c r="P12" s="4">
        <f t="shared" ref="P12:U12" si="11">P6*2^($P10/1200)</f>
        <v>97.998858995437331</v>
      </c>
      <c r="Q12" s="4">
        <f t="shared" si="11"/>
        <v>119.95585059317835</v>
      </c>
      <c r="R12" s="4">
        <f t="shared" si="11"/>
        <v>146.83238395870382</v>
      </c>
      <c r="S12" s="4">
        <f t="shared" si="11"/>
        <v>179.730699856521</v>
      </c>
      <c r="T12" s="4">
        <f t="shared" si="11"/>
        <v>220</v>
      </c>
      <c r="U12" s="4">
        <f t="shared" si="11"/>
        <v>269.29177952702418</v>
      </c>
      <c r="V12" t="s">
        <v>16</v>
      </c>
      <c r="W12" t="s">
        <v>42</v>
      </c>
    </row>
    <row r="13" spans="1:23">
      <c r="D13" s="4">
        <f>D9+C$3</f>
        <v>350</v>
      </c>
      <c r="E13" s="2" t="s">
        <v>52</v>
      </c>
      <c r="F13" s="4">
        <f>D13-LN(LEFT(E13,SEARCH("/",E13)-1)/RIGHT(E13,LEN(E13)-SEARCH("/",E13)))/LN(2)*1200</f>
        <v>2.5920593660179634</v>
      </c>
      <c r="G13" s="4">
        <f t="shared" si="10"/>
        <v>233.33333333333331</v>
      </c>
      <c r="H13" s="1">
        <v>4</v>
      </c>
      <c r="I13" s="9" t="s">
        <v>28</v>
      </c>
      <c r="J13" s="8">
        <f t="shared" si="8"/>
        <v>117.55648046786985</v>
      </c>
      <c r="K13" s="8">
        <f t="shared" si="4"/>
        <v>529.1435195321302</v>
      </c>
      <c r="L13" s="8">
        <f t="shared" si="5"/>
        <v>382.44351953213015</v>
      </c>
      <c r="O13" t="s">
        <v>73</v>
      </c>
      <c r="P13" s="4">
        <f>2^(2*$C$3/1200)*P12</f>
        <v>146.83238395870379</v>
      </c>
      <c r="Q13" s="4">
        <f t="shared" ref="Q13:U13" si="12">2^(2*$C$3/1200)*Q12</f>
        <v>179.730699856521</v>
      </c>
      <c r="R13" s="4">
        <f t="shared" si="12"/>
        <v>220.00000000000006</v>
      </c>
      <c r="S13" s="4">
        <f t="shared" si="12"/>
        <v>269.29177952702418</v>
      </c>
      <c r="T13" s="4">
        <f t="shared" si="12"/>
        <v>329.62755691286992</v>
      </c>
      <c r="U13" s="4">
        <f t="shared" si="12"/>
        <v>403.48177901005539</v>
      </c>
      <c r="V13" t="s">
        <v>16</v>
      </c>
    </row>
    <row r="14" spans="1:23">
      <c r="D14" s="4">
        <f t="shared" ref="D14:D20" si="13">D10+C$3</f>
        <v>383.33333333333331</v>
      </c>
      <c r="E14" s="3" t="s">
        <v>58</v>
      </c>
      <c r="F14" s="4">
        <f t="shared" ref="F14:F28" si="14">D14-LN(LEFT(E14,SEARCH("/",E14)-1)/RIGHT(E14,LEN(E14)-SEARCH("/",E14)))/LN(2)*1200</f>
        <v>-2.9803805315015097</v>
      </c>
      <c r="G14" s="4">
        <f t="shared" si="10"/>
        <v>33.333333333333314</v>
      </c>
      <c r="H14" s="1">
        <v>5</v>
      </c>
      <c r="I14" s="9"/>
      <c r="J14" s="8">
        <f t="shared" si="8"/>
        <v>127.64720099590934</v>
      </c>
      <c r="K14" s="8">
        <f t="shared" si="4"/>
        <v>519.05279900409073</v>
      </c>
      <c r="L14" s="8">
        <f t="shared" si="5"/>
        <v>372.35279900409068</v>
      </c>
      <c r="O14" t="s">
        <v>76</v>
      </c>
      <c r="P14" s="4">
        <f>P12*2^(4*$C$3/1200)</f>
        <v>220.00000000000003</v>
      </c>
      <c r="Q14" s="4">
        <f t="shared" ref="Q14:U14" si="15">Q12*2^(4*$C$3/1200)</f>
        <v>269.29177952702418</v>
      </c>
      <c r="R14" s="4">
        <f t="shared" si="15"/>
        <v>329.62755691287003</v>
      </c>
      <c r="S14" s="4">
        <f t="shared" si="15"/>
        <v>403.48177901005539</v>
      </c>
      <c r="T14" s="4">
        <f t="shared" si="15"/>
        <v>493.88330125612413</v>
      </c>
      <c r="U14" s="4">
        <f t="shared" si="15"/>
        <v>604.53960488155928</v>
      </c>
      <c r="V14" t="s">
        <v>16</v>
      </c>
    </row>
    <row r="15" spans="1:23">
      <c r="D15" s="4">
        <f t="shared" si="13"/>
        <v>433.33333333333337</v>
      </c>
      <c r="E15" s="2" t="s">
        <v>10</v>
      </c>
      <c r="F15" s="4">
        <f t="shared" si="14"/>
        <v>-1.750761928316706</v>
      </c>
      <c r="G15" s="4">
        <f t="shared" si="10"/>
        <v>50.000000000000057</v>
      </c>
      <c r="H15" s="1">
        <v>6</v>
      </c>
      <c r="I15" s="9"/>
      <c r="J15" s="8">
        <f t="shared" si="8"/>
        <v>142.42362662234333</v>
      </c>
      <c r="K15" s="8">
        <f t="shared" si="4"/>
        <v>504.27637337765668</v>
      </c>
      <c r="L15" s="8">
        <f t="shared" si="5"/>
        <v>357.57637337765664</v>
      </c>
    </row>
    <row r="16" spans="1:23">
      <c r="D16" s="4">
        <f t="shared" si="13"/>
        <v>466.66666666666669</v>
      </c>
      <c r="E16" s="3" t="s">
        <v>62</v>
      </c>
      <c r="F16" s="4">
        <f t="shared" si="14"/>
        <v>-0.18408222841247834</v>
      </c>
      <c r="G16" s="4">
        <f t="shared" si="10"/>
        <v>33.333333333333314</v>
      </c>
      <c r="H16" s="1">
        <v>7</v>
      </c>
      <c r="I16" s="9"/>
      <c r="J16" s="8">
        <f t="shared" si="8"/>
        <v>152.04013285329287</v>
      </c>
      <c r="K16" s="8">
        <f t="shared" si="4"/>
        <v>494.65986714670714</v>
      </c>
      <c r="L16" s="8">
        <f t="shared" si="5"/>
        <v>347.9598671467071</v>
      </c>
      <c r="O16" s="13" t="s">
        <v>31</v>
      </c>
      <c r="Q16" s="14" t="s">
        <v>43</v>
      </c>
    </row>
    <row r="17" spans="1:23">
      <c r="D17" s="4">
        <f t="shared" si="13"/>
        <v>700</v>
      </c>
      <c r="E17" s="3" t="s">
        <v>53</v>
      </c>
      <c r="F17" s="4">
        <f t="shared" si="14"/>
        <v>-1.9550008653874329</v>
      </c>
      <c r="G17" s="4">
        <f t="shared" si="10"/>
        <v>233.33333333333331</v>
      </c>
      <c r="H17" s="1">
        <v>8</v>
      </c>
      <c r="I17" s="9" t="s">
        <v>28</v>
      </c>
      <c r="J17" s="8">
        <f t="shared" si="8"/>
        <v>214.41211322703438</v>
      </c>
      <c r="K17" s="8">
        <f t="shared" si="4"/>
        <v>432.28788677296563</v>
      </c>
      <c r="L17" s="8">
        <f t="shared" si="5"/>
        <v>285.58788677296559</v>
      </c>
      <c r="P17" t="s">
        <v>47</v>
      </c>
      <c r="R17" s="11"/>
    </row>
    <row r="18" spans="1:23">
      <c r="D18" s="4">
        <f t="shared" si="13"/>
        <v>733.33333333333326</v>
      </c>
      <c r="E18" s="3" t="s">
        <v>63</v>
      </c>
      <c r="F18" s="4">
        <f t="shared" si="14"/>
        <v>-0.38832116548337581</v>
      </c>
      <c r="G18" s="4">
        <f t="shared" si="10"/>
        <v>33.333333333333258</v>
      </c>
      <c r="H18" s="1">
        <v>9</v>
      </c>
      <c r="I18" s="9"/>
      <c r="J18" s="8">
        <f t="shared" si="8"/>
        <v>222.65580532958484</v>
      </c>
      <c r="K18" s="8">
        <f t="shared" si="4"/>
        <v>424.04419467041521</v>
      </c>
      <c r="L18" s="8">
        <f t="shared" si="5"/>
        <v>277.34419467041516</v>
      </c>
    </row>
    <row r="19" spans="1:23">
      <c r="A19" t="s">
        <v>74</v>
      </c>
      <c r="D19" s="4">
        <f t="shared" si="13"/>
        <v>783.33333333333337</v>
      </c>
      <c r="E19" s="3" t="s">
        <v>65</v>
      </c>
      <c r="F19" s="4">
        <f t="shared" si="14"/>
        <v>0.84129743770165533</v>
      </c>
      <c r="G19" s="4">
        <f t="shared" si="10"/>
        <v>50.000000000000114</v>
      </c>
      <c r="H19" s="1">
        <v>10</v>
      </c>
      <c r="I19" s="9"/>
      <c r="J19" s="8">
        <f t="shared" si="8"/>
        <v>234.72752041693406</v>
      </c>
      <c r="K19" s="8">
        <f t="shared" si="4"/>
        <v>411.97247958306599</v>
      </c>
      <c r="L19" s="8">
        <f t="shared" si="5"/>
        <v>265.27247958306594</v>
      </c>
      <c r="R19" s="20"/>
      <c r="S19" s="20"/>
    </row>
    <row r="20" spans="1:23">
      <c r="D20" s="4">
        <f t="shared" si="13"/>
        <v>816.66666666666674</v>
      </c>
      <c r="E20" s="3" t="s">
        <v>64</v>
      </c>
      <c r="F20" s="4">
        <f t="shared" si="14"/>
        <v>-4.731142459818102</v>
      </c>
      <c r="G20" s="4">
        <f t="shared" si="10"/>
        <v>33.333333333333371</v>
      </c>
      <c r="H20" s="1">
        <v>11</v>
      </c>
      <c r="I20" s="9"/>
      <c r="J20" s="8">
        <f t="shared" si="8"/>
        <v>242.58379948540284</v>
      </c>
      <c r="K20" s="8">
        <f t="shared" si="4"/>
        <v>404.11620051459721</v>
      </c>
      <c r="L20" s="8">
        <f t="shared" si="5"/>
        <v>257.41620051459716</v>
      </c>
      <c r="P20" s="10"/>
      <c r="Q20" s="10"/>
      <c r="R20" s="10"/>
      <c r="S20" s="10"/>
    </row>
    <row r="21" spans="1:23">
      <c r="D21" s="4">
        <f>D17+C$3</f>
        <v>1050</v>
      </c>
      <c r="E21" s="3" t="s">
        <v>55</v>
      </c>
      <c r="F21" s="4">
        <f t="shared" si="14"/>
        <v>0.63705850063070102</v>
      </c>
      <c r="G21" s="4">
        <f>D21-D20</f>
        <v>233.33333333333326</v>
      </c>
      <c r="H21" s="1">
        <v>12</v>
      </c>
      <c r="I21" s="9" t="s">
        <v>28</v>
      </c>
      <c r="J21" s="8">
        <f t="shared" si="8"/>
        <v>293.53907077635631</v>
      </c>
      <c r="K21" s="8">
        <f t="shared" si="4"/>
        <v>353.16092922364373</v>
      </c>
      <c r="L21" s="8">
        <f t="shared" si="5"/>
        <v>206.46092922364369</v>
      </c>
      <c r="P21" s="21"/>
      <c r="Q21" s="21"/>
      <c r="R21" s="21"/>
      <c r="S21" s="21"/>
      <c r="T21" s="18"/>
    </row>
    <row r="22" spans="1:23">
      <c r="A22" t="s">
        <v>74</v>
      </c>
      <c r="D22" s="4">
        <f>D18+C$3</f>
        <v>1083.3333333333333</v>
      </c>
      <c r="E22" s="3" t="s">
        <v>66</v>
      </c>
      <c r="F22" s="4">
        <f t="shared" si="14"/>
        <v>-4.9353813968889426</v>
      </c>
      <c r="G22" s="4">
        <f t="shared" si="10"/>
        <v>33.333333333333258</v>
      </c>
      <c r="H22" s="1">
        <v>13</v>
      </c>
      <c r="I22" s="9"/>
      <c r="J22" s="8">
        <f t="shared" si="8"/>
        <v>300.27381873541572</v>
      </c>
      <c r="K22" s="8">
        <f t="shared" si="4"/>
        <v>346.42618126458433</v>
      </c>
      <c r="L22" s="8">
        <f t="shared" si="5"/>
        <v>199.72618126458428</v>
      </c>
      <c r="P22" s="21"/>
      <c r="Q22" s="21"/>
      <c r="R22" s="21"/>
      <c r="S22" s="21"/>
    </row>
    <row r="23" spans="1:23">
      <c r="D23" s="4">
        <f>D19+C$3</f>
        <v>1133.3333333333335</v>
      </c>
      <c r="E23" s="3" t="s">
        <v>67</v>
      </c>
      <c r="F23" s="4">
        <f t="shared" si="14"/>
        <v>-3.7057627937037978</v>
      </c>
      <c r="G23" s="4">
        <f t="shared" si="10"/>
        <v>50.000000000000227</v>
      </c>
      <c r="H23" s="1">
        <v>14</v>
      </c>
      <c r="I23" s="9"/>
      <c r="J23" s="8">
        <f t="shared" si="8"/>
        <v>310.13589964958754</v>
      </c>
      <c r="K23" s="8">
        <f t="shared" si="4"/>
        <v>336.5641003504125</v>
      </c>
      <c r="L23" s="8">
        <f t="shared" si="5"/>
        <v>189.86410035041246</v>
      </c>
      <c r="P23" s="21"/>
      <c r="Q23" s="21"/>
      <c r="R23" s="21"/>
      <c r="S23" s="21"/>
      <c r="T23" s="10"/>
    </row>
    <row r="24" spans="1:23">
      <c r="D24" s="4">
        <f>D20+C$3</f>
        <v>1166.6666666666667</v>
      </c>
      <c r="E24" s="3" t="s">
        <v>68</v>
      </c>
      <c r="F24" s="4">
        <f t="shared" si="14"/>
        <v>-2.1390830937998544</v>
      </c>
      <c r="G24" s="4">
        <f t="shared" si="10"/>
        <v>33.333333333333258</v>
      </c>
      <c r="H24" s="1">
        <v>15</v>
      </c>
      <c r="I24" s="9"/>
      <c r="J24" s="8">
        <f t="shared" si="8"/>
        <v>316.55414753706043</v>
      </c>
      <c r="K24" s="8">
        <f t="shared" si="4"/>
        <v>330.14585246293962</v>
      </c>
      <c r="L24" s="8">
        <f t="shared" si="5"/>
        <v>183.44585246293957</v>
      </c>
      <c r="P24" s="10"/>
      <c r="Q24" s="10"/>
      <c r="R24" s="10"/>
      <c r="S24" s="10"/>
      <c r="T24" s="10"/>
    </row>
    <row r="25" spans="1:23">
      <c r="D25" s="4">
        <f t="shared" ref="D25:D29" si="16">D21+C$3</f>
        <v>1400</v>
      </c>
      <c r="E25" s="3" t="s">
        <v>54</v>
      </c>
      <c r="F25" s="4">
        <f t="shared" si="14"/>
        <v>-3.9100017307748658</v>
      </c>
      <c r="G25" s="4">
        <f t="shared" ref="G25:G28" si="17">D25-D24</f>
        <v>233.33333333333326</v>
      </c>
      <c r="H25" s="1">
        <v>16</v>
      </c>
      <c r="I25" s="9" t="s">
        <v>28</v>
      </c>
      <c r="J25" s="8">
        <f t="shared" ref="J25:J28" si="18">C$4*(1-2^(-D25/1200))-G$4</f>
        <v>358.1824501302512</v>
      </c>
      <c r="K25" s="8">
        <f t="shared" ref="K25:K29" si="19">J$30-J25</f>
        <v>288.51754986974885</v>
      </c>
      <c r="L25" s="8">
        <f t="shared" ref="L25:L28" si="20">G$3-J25</f>
        <v>141.8175498697488</v>
      </c>
      <c r="P25" s="10"/>
      <c r="Q25" s="10"/>
      <c r="R25" s="10"/>
      <c r="S25" s="10"/>
      <c r="T25" s="10"/>
    </row>
    <row r="26" spans="1:23">
      <c r="D26" s="4">
        <f t="shared" si="16"/>
        <v>1433.3333333333333</v>
      </c>
      <c r="E26" s="3" t="s">
        <v>70</v>
      </c>
      <c r="F26" s="4">
        <f t="shared" si="14"/>
        <v>-2.3433220308709224</v>
      </c>
      <c r="G26" s="4">
        <f t="shared" si="17"/>
        <v>33.333333333333258</v>
      </c>
      <c r="H26" s="1">
        <v>17</v>
      </c>
      <c r="I26" s="9"/>
      <c r="J26" s="8">
        <f t="shared" si="18"/>
        <v>363.68445451224665</v>
      </c>
      <c r="K26" s="8">
        <f t="shared" si="19"/>
        <v>283.0155454877534</v>
      </c>
      <c r="L26" s="8">
        <f t="shared" si="20"/>
        <v>136.31554548775335</v>
      </c>
      <c r="P26" s="10"/>
      <c r="Q26" s="10"/>
      <c r="R26" s="10"/>
      <c r="S26" s="10"/>
      <c r="T26" s="10"/>
    </row>
    <row r="27" spans="1:23">
      <c r="D27" s="4">
        <f t="shared" si="16"/>
        <v>1483.3333333333335</v>
      </c>
      <c r="E27" s="3" t="s">
        <v>69</v>
      </c>
      <c r="F27" s="4">
        <f t="shared" si="14"/>
        <v>-1.1137034276857776</v>
      </c>
      <c r="G27" s="4">
        <f t="shared" si="17"/>
        <v>50.000000000000227</v>
      </c>
      <c r="H27" s="1">
        <v>18</v>
      </c>
      <c r="I27" s="9"/>
      <c r="J27" s="8">
        <f t="shared" si="18"/>
        <v>371.74135771563641</v>
      </c>
      <c r="K27" s="8">
        <f t="shared" si="19"/>
        <v>274.95864228436363</v>
      </c>
      <c r="L27" s="8">
        <f t="shared" si="20"/>
        <v>128.25864228436359</v>
      </c>
      <c r="P27" s="10"/>
      <c r="Q27" s="10"/>
      <c r="R27" s="10"/>
      <c r="S27" s="10"/>
      <c r="T27" s="10"/>
    </row>
    <row r="28" spans="1:23">
      <c r="D28" s="4">
        <f t="shared" si="16"/>
        <v>1516.6666666666667</v>
      </c>
      <c r="E28" s="3" t="s">
        <v>71</v>
      </c>
      <c r="F28" s="4">
        <f t="shared" si="14"/>
        <v>-6.6861433252056486</v>
      </c>
      <c r="G28" s="4">
        <f t="shared" si="17"/>
        <v>33.333333333333258</v>
      </c>
      <c r="H28" s="1">
        <v>19</v>
      </c>
      <c r="I28" s="9"/>
      <c r="J28" s="8">
        <f t="shared" si="18"/>
        <v>376.98479491867346</v>
      </c>
      <c r="K28" s="8">
        <f t="shared" si="19"/>
        <v>269.71520508132659</v>
      </c>
      <c r="L28" s="8">
        <f t="shared" si="20"/>
        <v>123.01520508132654</v>
      </c>
      <c r="P28" s="10"/>
      <c r="Q28" s="10"/>
      <c r="R28" s="10"/>
      <c r="S28" s="10"/>
      <c r="T28" s="10"/>
    </row>
    <row r="29" spans="1:23">
      <c r="A29" t="s">
        <v>74</v>
      </c>
      <c r="D29" s="4">
        <f t="shared" si="16"/>
        <v>1750</v>
      </c>
      <c r="E29" s="3" t="s">
        <v>56</v>
      </c>
      <c r="F29" s="4">
        <f t="shared" ref="F29" si="21">D29-LN(LEFT(E29,SEARCH("/",E29)-1)/RIGHT(E29,LEN(E29)-SEARCH("/",E29)))/LN(2)*1200</f>
        <v>-1.3179423647568456</v>
      </c>
      <c r="G29" s="4">
        <f t="shared" ref="G29" si="22">D29-D28</f>
        <v>233.33333333333326</v>
      </c>
      <c r="H29" s="1">
        <v>20</v>
      </c>
      <c r="I29" s="9"/>
      <c r="J29" s="8">
        <f t="shared" ref="J29" si="23">C$4*(1-2^(-D29/1200))-G$4</f>
        <v>410.99335836827885</v>
      </c>
      <c r="K29" s="8">
        <f t="shared" si="19"/>
        <v>235.7066416317212</v>
      </c>
      <c r="L29" s="8">
        <f t="shared" ref="L29" si="24">G$3-J29</f>
        <v>89.006641631721152</v>
      </c>
      <c r="O29" s="18"/>
      <c r="P29" s="21"/>
      <c r="Q29" s="21"/>
      <c r="R29" s="21"/>
      <c r="S29" s="21"/>
      <c r="T29" s="21"/>
      <c r="U29" s="18"/>
      <c r="V29" s="18"/>
      <c r="W29" s="18"/>
    </row>
    <row r="30" spans="1:23">
      <c r="E30" s="3"/>
      <c r="G30" s="4"/>
      <c r="H30" s="1" t="s">
        <v>79</v>
      </c>
      <c r="I30" s="9"/>
      <c r="J30" s="8">
        <f>C4-G4</f>
        <v>646.70000000000005</v>
      </c>
      <c r="K30" s="8">
        <f>J$30-J30</f>
        <v>0</v>
      </c>
      <c r="L30" s="8">
        <f t="shared" si="5"/>
        <v>-146.70000000000005</v>
      </c>
      <c r="O30" s="18"/>
      <c r="P30" s="21"/>
      <c r="Q30" s="18"/>
      <c r="R30" s="18"/>
      <c r="S30" s="18"/>
      <c r="T30" s="21"/>
      <c r="U30" s="18"/>
      <c r="V30" s="18"/>
      <c r="W30" s="18"/>
    </row>
    <row r="31" spans="1:23">
      <c r="E31" s="3"/>
      <c r="G31" s="4" t="s">
        <v>78</v>
      </c>
      <c r="I31" s="9"/>
      <c r="O31" s="18"/>
      <c r="P31" s="18"/>
      <c r="Q31" s="18"/>
      <c r="R31" s="18"/>
      <c r="S31" s="18"/>
      <c r="T31" s="18"/>
      <c r="U31" s="18"/>
      <c r="V31" s="18"/>
      <c r="W31" s="18"/>
    </row>
    <row r="32" spans="1:23">
      <c r="G32" t="s">
        <v>80</v>
      </c>
      <c r="I32" s="9"/>
      <c r="O32" s="18"/>
      <c r="P32" s="18"/>
      <c r="Q32" s="18"/>
      <c r="R32" s="18"/>
      <c r="S32" s="18"/>
      <c r="T32" s="21"/>
      <c r="U32" s="18"/>
      <c r="V32" s="18"/>
      <c r="W32" s="18"/>
    </row>
    <row r="33" spans="7:23">
      <c r="G33" s="4" t="s">
        <v>81</v>
      </c>
      <c r="I33" s="9"/>
      <c r="O33" s="18"/>
      <c r="P33" s="18"/>
      <c r="Q33" s="18"/>
      <c r="R33" s="18"/>
      <c r="S33" s="18"/>
      <c r="T33" s="22"/>
      <c r="U33" s="18"/>
      <c r="V33" s="18"/>
      <c r="W33" s="18"/>
    </row>
    <row r="34" spans="7:23">
      <c r="I34" s="9"/>
      <c r="O34" s="23"/>
      <c r="P34" s="12"/>
      <c r="Q34" s="24"/>
      <c r="R34" s="12"/>
      <c r="S34" s="12"/>
      <c r="T34" s="25"/>
      <c r="U34" s="12"/>
      <c r="V34" s="18"/>
      <c r="W34" s="18"/>
    </row>
    <row r="35" spans="7:23">
      <c r="I35" s="9"/>
      <c r="O35" s="26"/>
      <c r="P35" s="18"/>
      <c r="Q35" s="18"/>
      <c r="R35" s="18"/>
      <c r="S35" s="18"/>
      <c r="T35" s="18"/>
      <c r="U35" s="18"/>
      <c r="V35" s="19"/>
      <c r="W35" s="18"/>
    </row>
    <row r="36" spans="7:23">
      <c r="I36" s="9"/>
      <c r="O36" s="26"/>
      <c r="P36" s="18"/>
      <c r="Q36" s="18"/>
      <c r="R36" s="18"/>
      <c r="S36" s="18"/>
      <c r="T36" s="18"/>
      <c r="U36" s="18"/>
      <c r="V36" s="19"/>
      <c r="W36" s="18"/>
    </row>
    <row r="37" spans="7:23">
      <c r="O37" s="26"/>
      <c r="P37" s="18"/>
      <c r="Q37" s="18"/>
      <c r="R37" s="18"/>
      <c r="S37" s="18"/>
      <c r="T37" s="18"/>
      <c r="U37" s="18"/>
      <c r="V37" s="19"/>
      <c r="W37" s="18"/>
    </row>
    <row r="38" spans="7:23">
      <c r="O38" s="26"/>
      <c r="P38" s="18"/>
      <c r="Q38" s="18"/>
      <c r="R38" s="18"/>
      <c r="S38" s="18"/>
      <c r="T38" s="18"/>
      <c r="U38" s="18"/>
      <c r="V38" s="19"/>
      <c r="W38" s="18"/>
    </row>
    <row r="39" spans="7:23">
      <c r="O39" s="26"/>
      <c r="P39" s="18"/>
      <c r="Q39" s="18"/>
      <c r="R39" s="18"/>
      <c r="S39" s="18"/>
      <c r="T39" s="18"/>
      <c r="U39" s="18"/>
      <c r="V39" s="19"/>
      <c r="W39" s="18"/>
    </row>
    <row r="40" spans="7:23">
      <c r="O40" s="26"/>
      <c r="P40" s="18"/>
      <c r="Q40" s="18"/>
      <c r="R40" s="18"/>
      <c r="S40" s="18"/>
      <c r="T40" s="18"/>
      <c r="U40" s="18"/>
      <c r="V40" s="19"/>
      <c r="W40" s="18"/>
    </row>
    <row r="41" spans="7:23">
      <c r="O41" s="26"/>
      <c r="P41" s="18"/>
      <c r="Q41" s="18"/>
      <c r="R41" s="18"/>
      <c r="S41" s="18"/>
      <c r="T41" s="18"/>
      <c r="U41" s="18"/>
      <c r="V41" s="19"/>
      <c r="W41" s="18"/>
    </row>
    <row r="42" spans="7:23">
      <c r="O42" s="26"/>
      <c r="P42" s="18"/>
      <c r="Q42" s="18"/>
      <c r="R42" s="18"/>
      <c r="S42" s="18"/>
      <c r="T42" s="18"/>
      <c r="U42" s="18"/>
      <c r="V42" s="19"/>
      <c r="W42" s="18"/>
    </row>
    <row r="43" spans="7:23">
      <c r="O43" s="26"/>
      <c r="P43" s="18"/>
      <c r="Q43" s="18"/>
      <c r="R43" s="18"/>
      <c r="S43" s="18"/>
      <c r="T43" s="18"/>
      <c r="U43" s="18"/>
      <c r="V43" s="19"/>
      <c r="W43" s="18"/>
    </row>
    <row r="44" spans="7:23">
      <c r="O44" s="26"/>
      <c r="P44" s="18"/>
      <c r="Q44" s="18"/>
      <c r="R44" s="18"/>
      <c r="S44" s="18"/>
      <c r="T44" s="18"/>
      <c r="U44" s="18"/>
      <c r="V44" s="19"/>
      <c r="W44" s="18"/>
    </row>
    <row r="45" spans="7:23">
      <c r="O45" s="26"/>
      <c r="P45" s="12"/>
      <c r="Q45" s="12"/>
      <c r="R45" s="12"/>
      <c r="S45" s="12"/>
      <c r="T45" s="12"/>
      <c r="U45" s="12"/>
      <c r="V45" s="19"/>
      <c r="W45" s="18"/>
    </row>
    <row r="46" spans="7:23">
      <c r="O46" s="26"/>
      <c r="P46" s="12"/>
      <c r="Q46" s="12"/>
      <c r="R46" s="12"/>
      <c r="S46" s="12"/>
      <c r="T46" s="12"/>
      <c r="U46" s="12"/>
      <c r="V46" s="19"/>
      <c r="W46" s="18"/>
    </row>
    <row r="47" spans="7:23">
      <c r="O47" s="26"/>
      <c r="P47" s="12"/>
      <c r="Q47" s="12"/>
      <c r="R47" s="12"/>
      <c r="S47" s="12"/>
      <c r="T47" s="12"/>
      <c r="U47" s="12"/>
      <c r="V47" s="19"/>
      <c r="W47" s="18"/>
    </row>
    <row r="48" spans="7:23">
      <c r="O48" s="18"/>
      <c r="P48" s="18"/>
      <c r="Q48" s="18"/>
      <c r="R48" s="18"/>
      <c r="S48" s="18"/>
      <c r="T48" s="18"/>
      <c r="U48" s="18"/>
      <c r="V48" s="18"/>
      <c r="W48" s="18"/>
    </row>
    <row r="61" spans="16:22">
      <c r="P61" s="12"/>
      <c r="Q61" s="12"/>
      <c r="R61" s="12"/>
      <c r="S61" s="12"/>
      <c r="T61" s="12"/>
      <c r="U61" s="12"/>
      <c r="V61" s="18"/>
    </row>
    <row r="62" spans="16:22">
      <c r="P62" s="12"/>
      <c r="Q62" s="12"/>
      <c r="R62" s="12"/>
      <c r="S62" s="12"/>
      <c r="T62" s="12"/>
      <c r="U62" s="12"/>
      <c r="V62" s="18"/>
    </row>
  </sheetData>
  <sortState ref="D8:D24">
    <sortCondition ref="D8:D24"/>
  </sortState>
  <phoneticPr fontId="3" type="noConversion"/>
  <pageMargins left="0.7" right="0.7" top="0.75" bottom="0.75" header="0.3" footer="0.3"/>
  <pageSetup orientation="portrait" verticalDpi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Eikosany guitar design (tempered version)</dc:title>
  <dc:subject/>
  <dc:creator>David Keenan</dc:creator>
  <cp:keywords/>
  <dc:description>31 December 2014</dc:description>
  <cp:lastModifiedBy>Reilly Smethurst</cp:lastModifiedBy>
  <dcterms:created xsi:type="dcterms:W3CDTF">2012-07-23T08:06:51Z</dcterms:created>
  <dcterms:modified xsi:type="dcterms:W3CDTF">2017-02-25T14:43:37Z</dcterms:modified>
  <cp:category/>
</cp:coreProperties>
</file>